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18\"/>
    </mc:Choice>
  </mc:AlternateContent>
  <xr:revisionPtr revIDLastSave="0" documentId="8_{359F359B-602C-4AFD-A805-AC6412A3C637}" xr6:coauthVersionLast="31" xr6:coauthVersionMax="31" xr10:uidLastSave="{00000000-0000-0000-0000-000000000000}"/>
  <bookViews>
    <workbookView xWindow="0" yWindow="0" windowWidth="20490" windowHeight="6945" xr2:uid="{7BA5CAB8-53BC-4D7D-A61D-7455355F3B18}"/>
  </bookViews>
  <sheets>
    <sheet name="Cashbook" sheetId="3" r:id="rId1"/>
    <sheet name="Costs" sheetId="2" r:id="rId2"/>
    <sheet name="Income" sheetId="1" r:id="rId3"/>
  </sheets>
  <externalReferences>
    <externalReference r:id="rId4"/>
  </externalReferences>
  <definedNames>
    <definedName name="_xlnm.Print_Area" localSheetId="0">Cashbook!$C$3:$M$69</definedName>
    <definedName name="_xlnm.Print_Area" localSheetId="1">Costs!$C$1:$N$35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3" l="1"/>
  <c r="K61" i="3"/>
  <c r="D58" i="3"/>
  <c r="D61" i="3" s="1"/>
  <c r="M55" i="3"/>
  <c r="M58" i="3" s="1"/>
  <c r="M54" i="3"/>
  <c r="L54" i="3"/>
  <c r="K39" i="3"/>
  <c r="D48" i="3" s="1"/>
  <c r="H9" i="3"/>
  <c r="H8" i="3"/>
  <c r="H7" i="3"/>
  <c r="H6" i="3"/>
  <c r="E32" i="2"/>
  <c r="J31" i="2"/>
  <c r="F30" i="2"/>
  <c r="J30" i="2" s="1"/>
  <c r="O30" i="2" s="1"/>
  <c r="K29" i="2"/>
  <c r="O29" i="2" s="1"/>
  <c r="J29" i="2"/>
  <c r="O28" i="2"/>
  <c r="J28" i="2"/>
  <c r="K27" i="2"/>
  <c r="J27" i="2"/>
  <c r="O27" i="2" s="1"/>
  <c r="F27" i="2"/>
  <c r="F26" i="2"/>
  <c r="J26" i="2" s="1"/>
  <c r="O26" i="2" s="1"/>
  <c r="K25" i="2"/>
  <c r="O25" i="2" s="1"/>
  <c r="F25" i="2"/>
  <c r="J25" i="2" s="1"/>
  <c r="K24" i="2"/>
  <c r="O24" i="2" s="1"/>
  <c r="F24" i="2"/>
  <c r="J24" i="2" s="1"/>
  <c r="K23" i="2"/>
  <c r="K32" i="2" s="1"/>
  <c r="F23" i="2"/>
  <c r="F32" i="2" s="1"/>
  <c r="K19" i="2"/>
  <c r="K18" i="2"/>
  <c r="J17" i="2"/>
  <c r="O17" i="2" s="1"/>
  <c r="F17" i="2"/>
  <c r="K16" i="2"/>
  <c r="J16" i="2"/>
  <c r="O16" i="2" s="1"/>
  <c r="K15" i="2"/>
  <c r="O15" i="2" s="1"/>
  <c r="F15" i="2"/>
  <c r="J15" i="2" s="1"/>
  <c r="J14" i="2"/>
  <c r="O14" i="2" s="1"/>
  <c r="F14" i="2"/>
  <c r="F13" i="2"/>
  <c r="J13" i="2" s="1"/>
  <c r="O13" i="2" s="1"/>
  <c r="K12" i="2"/>
  <c r="F12" i="2"/>
  <c r="J12" i="2" s="1"/>
  <c r="J11" i="2"/>
  <c r="O11" i="2" s="1"/>
  <c r="J10" i="2"/>
  <c r="O10" i="2" s="1"/>
  <c r="J9" i="2"/>
  <c r="O9" i="2" s="1"/>
  <c r="J8" i="2"/>
  <c r="O8" i="2" s="1"/>
  <c r="F8" i="2"/>
  <c r="K7" i="2"/>
  <c r="E7" i="2"/>
  <c r="F7" i="2" s="1"/>
  <c r="J7" i="2" s="1"/>
  <c r="O7" i="2" s="1"/>
  <c r="K6" i="2"/>
  <c r="O6" i="2" s="1"/>
  <c r="F6" i="2"/>
  <c r="J6" i="2" s="1"/>
  <c r="K5" i="2"/>
  <c r="K20" i="2" s="1"/>
  <c r="K34" i="2" s="1"/>
  <c r="F5" i="2"/>
  <c r="F20" i="2" s="1"/>
  <c r="F34" i="2" s="1"/>
  <c r="O18" i="1"/>
  <c r="I18" i="1"/>
  <c r="G18" i="1"/>
  <c r="O17" i="1"/>
  <c r="L17" i="1"/>
  <c r="K17" i="1"/>
  <c r="I17" i="1"/>
  <c r="H17" i="1"/>
  <c r="G17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E18" i="1" s="1"/>
  <c r="P6" i="1"/>
  <c r="F6" i="1"/>
  <c r="E6" i="1"/>
  <c r="F5" i="1"/>
  <c r="E5" i="1"/>
  <c r="P4" i="1"/>
  <c r="P17" i="1" s="1"/>
  <c r="J4" i="1"/>
  <c r="J17" i="1" s="1"/>
  <c r="F4" i="1"/>
  <c r="F17" i="1" s="1"/>
  <c r="E4" i="1"/>
  <c r="H16" i="3" l="1"/>
  <c r="D45" i="3" s="1"/>
  <c r="D49" i="3" s="1"/>
  <c r="F64" i="3"/>
  <c r="K65" i="3" s="1"/>
  <c r="F61" i="3"/>
  <c r="K62" i="3" s="1"/>
  <c r="O12" i="2"/>
  <c r="E20" i="2"/>
  <c r="E34" i="2" s="1"/>
  <c r="J5" i="2"/>
  <c r="J20" i="2" s="1"/>
  <c r="O5" i="2"/>
  <c r="J23" i="2"/>
  <c r="J32" i="2" s="1"/>
  <c r="O23" i="2"/>
  <c r="E17" i="1"/>
  <c r="J3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K16" authorId="0" shapeId="0" xr:uid="{805EC36D-6C75-40BD-8CEF-95CC8F76CBEA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banner
card tables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P4" authorId="0" shapeId="0" xr:uid="{6246DF24-E060-423B-AFB5-73068F7D8C3F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Christmas Lunch, Grant. Interest</t>
        </r>
      </text>
    </comment>
    <comment ref="P6" authorId="0" shapeId="0" xr:uid="{F8488A1A-B03A-43B3-A029-7C7CC8963C8D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Seniors Festival grant $900
</t>
        </r>
      </text>
    </comment>
  </commentList>
</comments>
</file>

<file path=xl/sharedStrings.xml><?xml version="1.0" encoding="utf-8"?>
<sst xmlns="http://schemas.openxmlformats.org/spreadsheetml/2006/main" count="125" uniqueCount="96">
  <si>
    <t>Total Receipts</t>
  </si>
  <si>
    <t>Membership</t>
  </si>
  <si>
    <t>TBC Usage</t>
  </si>
  <si>
    <t>Bega Usage</t>
  </si>
  <si>
    <t>Library Usage</t>
  </si>
  <si>
    <t>Other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</si>
  <si>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</si>
  <si>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</si>
  <si>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</si>
  <si>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</si>
  <si>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</si>
  <si>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</si>
  <si>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</si>
  <si>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</si>
  <si>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</si>
  <si>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</si>
  <si>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</si>
  <si>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</si>
  <si>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 to date</t>
  </si>
  <si>
    <t>Full Year</t>
  </si>
  <si>
    <t>Budget</t>
  </si>
  <si>
    <t xml:space="preserve">Actual </t>
  </si>
  <si>
    <t xml:space="preserve">Year to date </t>
  </si>
  <si>
    <t>Administrative Expenses</t>
  </si>
  <si>
    <t>CPI 1.9%</t>
  </si>
  <si>
    <t>Postage/PO Box</t>
  </si>
  <si>
    <t>Stationery &amp; Printing</t>
  </si>
  <si>
    <t>NSW U3A Network /MyU3A fees</t>
  </si>
  <si>
    <t>Insurances</t>
  </si>
  <si>
    <t>Newspapers</t>
  </si>
  <si>
    <t>Advertising</t>
  </si>
  <si>
    <t>Audit</t>
  </si>
  <si>
    <t>External catering &amp; Room Hire</t>
  </si>
  <si>
    <t>One off events</t>
  </si>
  <si>
    <t>NSW Network Conference</t>
  </si>
  <si>
    <t>Membership Refunds</t>
  </si>
  <si>
    <t>Asset Purchases</t>
  </si>
  <si>
    <t>Misc.</t>
  </si>
  <si>
    <t>Bega Venues</t>
  </si>
  <si>
    <t>Library Venue Hire</t>
  </si>
  <si>
    <t>Total Admin Expenses</t>
  </si>
  <si>
    <t>U3A Centre Tura Beach Expenses</t>
  </si>
  <si>
    <t>Rates/Water/Electricity</t>
  </si>
  <si>
    <t>Telstra</t>
  </si>
  <si>
    <t>Rent</t>
  </si>
  <si>
    <t>Insurance</t>
  </si>
  <si>
    <t>Cleaning</t>
  </si>
  <si>
    <t>Petty Cash</t>
  </si>
  <si>
    <t>Maintenance</t>
  </si>
  <si>
    <t>Total Tura Centre Expenses</t>
  </si>
  <si>
    <t>Grand Total Expenses</t>
  </si>
  <si>
    <t xml:space="preserve">U3A Sapphire Coast Treasurer's Report  </t>
  </si>
  <si>
    <t>Date</t>
  </si>
  <si>
    <t>Detail</t>
  </si>
  <si>
    <t>Amount</t>
  </si>
  <si>
    <t>Income</t>
  </si>
  <si>
    <t>Bega Venue Hire</t>
  </si>
  <si>
    <t>U3A Tura Venue Hire</t>
  </si>
  <si>
    <t>Tura Library Venue Hire</t>
  </si>
  <si>
    <t>Grant Seniors Festival</t>
  </si>
  <si>
    <t>Bank Interest</t>
  </si>
  <si>
    <t>Expenditure</t>
  </si>
  <si>
    <t>Payee</t>
  </si>
  <si>
    <t>Chq No</t>
  </si>
  <si>
    <t>Matanuska</t>
  </si>
  <si>
    <t>O/L</t>
  </si>
  <si>
    <t>Australia Post</t>
  </si>
  <si>
    <t>Box Rental</t>
  </si>
  <si>
    <t>Bega Funhouse</t>
  </si>
  <si>
    <t>Venue Hire</t>
  </si>
  <si>
    <t>Strata 40176</t>
  </si>
  <si>
    <t>Water Usage</t>
  </si>
  <si>
    <t>Lou's Cleaning</t>
  </si>
  <si>
    <t>Internet</t>
  </si>
  <si>
    <t>Carbon Copy</t>
  </si>
  <si>
    <t>Printing</t>
  </si>
  <si>
    <t>BVSC</t>
  </si>
  <si>
    <t>Club Sapphire</t>
  </si>
  <si>
    <t>Catering AGM</t>
  </si>
  <si>
    <t>Total Payments</t>
  </si>
  <si>
    <t>Bank Reconciliation</t>
  </si>
  <si>
    <t xml:space="preserve">Cashbook opening balance </t>
  </si>
  <si>
    <t>Horizon C.A.</t>
  </si>
  <si>
    <t xml:space="preserve">Plus income </t>
  </si>
  <si>
    <t>less U/P chqs</t>
  </si>
  <si>
    <t>Less expenditure</t>
  </si>
  <si>
    <t>Statement of Current Assets</t>
  </si>
  <si>
    <t>Horizon C/A</t>
  </si>
  <si>
    <t>Horizon O/L</t>
  </si>
  <si>
    <t>Horizon TD</t>
  </si>
  <si>
    <t>Bendigo TD</t>
  </si>
  <si>
    <t>U/P cheques</t>
  </si>
  <si>
    <t>Compared to last month</t>
  </si>
  <si>
    <t>Net gain/loss</t>
  </si>
  <si>
    <t>Compared to last year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</si>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</sst>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2" fontId="0" fillId="0" borderId="0" xfId="0" applyNumberFormat="1"/>
    <xf numFmtId="2" fontId="4" fillId="0" borderId="0" xfId="0" applyNumberFormat="1" applyFont="1"/>
    <xf numFmtId="2" fontId="5" fillId="0" borderId="0" xfId="0" applyNumberFormat="1" applyFont="1"/>
    <xf numFmtId="14" fontId="9" fillId="2" borderId="0" xfId="0" applyNumberFormat="1" applyFont="1" applyFill="1"/>
    <xf numFmtId="0" fontId="10" fillId="0" borderId="0" xfId="0" applyFont="1"/>
    <xf numFmtId="2" fontId="0" fillId="0" borderId="0" xfId="0" applyNumberFormat="1" applyAlignment="1">
      <alignment horizontal="center"/>
    </xf>
    <xf numFmtId="0" fontId="0" fillId="0" borderId="0" xfId="0" applyFill="1"/>
    <xf numFmtId="2" fontId="12" fillId="0" borderId="0" xfId="1" applyNumberFormat="1" applyFont="1" applyAlignment="1" applyProtection="1"/>
    <xf numFmtId="0" fontId="0" fillId="0" borderId="0" xfId="0" applyBorder="1"/>
    <xf numFmtId="2" fontId="0" fillId="0" borderId="0" xfId="0" applyNumberFormat="1" applyBorder="1"/>
    <xf numFmtId="0" fontId="13" fillId="0" borderId="0" xfId="0" applyFont="1" applyBorder="1"/>
    <xf numFmtId="2" fontId="3" fillId="0" borderId="0" xfId="0" applyNumberFormat="1" applyFont="1" applyBorder="1"/>
    <xf numFmtId="2" fontId="0" fillId="0" borderId="0" xfId="0" applyNumberFormat="1" applyFill="1"/>
    <xf numFmtId="0" fontId="14" fillId="0" borderId="0" xfId="0" applyFont="1"/>
    <xf numFmtId="0" fontId="3" fillId="0" borderId="0" xfId="0" applyFont="1" applyBorder="1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right"/>
    </xf>
    <xf numFmtId="0" fontId="0" fillId="0" borderId="0" xfId="0" applyFont="1"/>
    <xf numFmtId="2" fontId="1" fillId="0" borderId="0" xfId="0" applyNumberFormat="1" applyFont="1" applyFill="1"/>
    <xf numFmtId="14" fontId="1" fillId="0" borderId="0" xfId="0" applyNumberFormat="1" applyFont="1" applyFill="1"/>
    <xf numFmtId="0" fontId="0" fillId="0" borderId="0" xfId="0" quotePrefix="1" applyFont="1" applyFill="1"/>
    <xf numFmtId="0" fontId="1" fillId="0" borderId="0" xfId="0" applyFont="1" applyFill="1"/>
    <xf numFmtId="2" fontId="0" fillId="0" borderId="0" xfId="0" applyNumberFormat="1" applyFont="1" applyFill="1"/>
    <xf numFmtId="0" fontId="0" fillId="0" borderId="0" xfId="0" applyFont="1" applyFill="1"/>
    <xf numFmtId="0" fontId="0" fillId="0" borderId="0" xfId="0" quotePrefix="1" applyFont="1" applyFill="1" applyAlignment="1">
      <alignment horizontal="left"/>
    </xf>
    <xf numFmtId="4" fontId="1" fillId="0" borderId="0" xfId="0" applyNumberFormat="1" applyFont="1" applyFill="1"/>
    <xf numFmtId="0" fontId="0" fillId="0" borderId="0" xfId="0" quotePrefix="1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14" fontId="0" fillId="0" borderId="0" xfId="0" applyNumberFormat="1" applyFont="1" applyFill="1"/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2" fontId="0" fillId="0" borderId="0" xfId="0" applyNumberFormat="1" applyFont="1"/>
    <xf numFmtId="2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 applyFill="1" applyAlignment="1">
      <alignment horizontal="right"/>
    </xf>
    <xf numFmtId="4" fontId="10" fillId="0" borderId="0" xfId="0" applyNumberFormat="1" applyFont="1"/>
    <xf numFmtId="2" fontId="10" fillId="0" borderId="0" xfId="0" applyNumberFormat="1" applyFont="1"/>
    <xf numFmtId="2" fontId="1" fillId="0" borderId="0" xfId="0" applyNumberFormat="1" applyFont="1" applyBorder="1"/>
    <xf numFmtId="0" fontId="2" fillId="0" borderId="0" xfId="0" applyFont="1"/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4" fontId="1" fillId="2" borderId="0" xfId="0" applyNumberFormat="1" applyFont="1" applyFill="1"/>
    <xf numFmtId="0" fontId="5" fillId="2" borderId="1" xfId="0" applyFont="1" applyFill="1" applyBorder="1"/>
    <xf numFmtId="0" fontId="5" fillId="2" borderId="0" xfId="0" applyFont="1" applyFill="1"/>
    <xf numFmtId="4" fontId="5" fillId="2" borderId="1" xfId="0" applyNumberFormat="1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0" fillId="0" borderId="0" xfId="0" quotePrefix="1" applyFont="1"/>
    <xf numFmtId="17" fontId="0" fillId="0" borderId="0" xfId="0" applyNumberFormat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60</xdr:row>
      <xdr:rowOff>114300</xdr:rowOff>
    </xdr:from>
    <xdr:to>
      <xdr:col>4</xdr:col>
      <xdr:colOff>2390775</xdr:colOff>
      <xdr:row>62</xdr:row>
      <xdr:rowOff>133350</xdr:rowOff>
    </xdr:to>
    <xdr:cxnSp macro="">
      <xdr:nvCxnSpPr>
        <xdr:cNvPr id="2" name="Elbow Connector 1">
          <a:extLst>
            <a:ext uri="{FF2B5EF4-FFF2-40B4-BE49-F238E27FC236}">
              <a16:creationId xmlns:a16="http://schemas.microsoft.com/office/drawing/2014/main" id="{C8CB68E0-B75C-4DB6-A9B7-A217A7901879}"/>
            </a:ext>
          </a:extLst>
        </xdr:cNvPr>
        <xdr:cNvCxnSpPr/>
      </xdr:nvCxnSpPr>
      <xdr:spPr>
        <a:xfrm>
          <a:off x="3848100" y="11544300"/>
          <a:ext cx="2371725" cy="400050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esktop/U3A%20Treasurer/Cash%20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ummary"/>
      <sheetName val="Payment Summary"/>
      <sheetName val="Mar 16"/>
      <sheetName val="Apr 16"/>
      <sheetName val="May 16"/>
      <sheetName val="June"/>
      <sheetName val="July"/>
      <sheetName val="Aug"/>
      <sheetName val="September"/>
      <sheetName val="October"/>
      <sheetName val="November"/>
      <sheetName val="Nov Detailed"/>
      <sheetName val="December detailed"/>
      <sheetName val="December"/>
      <sheetName val="January Detaikled"/>
      <sheetName val="January summary"/>
      <sheetName val="February detailed"/>
      <sheetName val="February Summary"/>
      <sheetName val="March Detailed"/>
      <sheetName val="March Summary"/>
      <sheetName val="April Detailed"/>
      <sheetName val="April Summary"/>
      <sheetName val="May detailed"/>
      <sheetName val="May summary"/>
      <sheetName val="June detailed"/>
      <sheetName val="June Summary"/>
      <sheetName val="JulyDetailed"/>
      <sheetName val="July Summary"/>
      <sheetName val="August Detailed"/>
      <sheetName val="August Summary"/>
      <sheetName val="September Detailed"/>
      <sheetName val="September Summary"/>
      <sheetName val="October DEtailed"/>
      <sheetName val="October Summary"/>
      <sheetName val="November Detailed"/>
      <sheetName val="November Summary"/>
      <sheetName val="December 17 Detailed"/>
      <sheetName val="December 17 Summary"/>
      <sheetName val="January 2018 detaled"/>
      <sheetName val="January 2018 Summary"/>
      <sheetName val="February 2018 detaled "/>
      <sheetName val="February 2018 Summary"/>
      <sheetName val="March 2018 detaled  "/>
      <sheetName val="March 2018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9">
          <cell r="F69">
            <v>57996.479999999996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61">
          <cell r="D61">
            <v>62157.010000000009</v>
          </cell>
        </row>
      </sheetData>
      <sheetData sheetId="42">
        <row r="6">
          <cell r="H6">
            <v>48.1</v>
          </cell>
        </row>
        <row r="7">
          <cell r="H7">
            <v>35</v>
          </cell>
        </row>
        <row r="8">
          <cell r="H8">
            <v>48.1</v>
          </cell>
        </row>
        <row r="9">
          <cell r="H9">
            <v>66</v>
          </cell>
        </row>
        <row r="10">
          <cell r="H10">
            <v>125</v>
          </cell>
        </row>
        <row r="11">
          <cell r="H11">
            <v>33</v>
          </cell>
        </row>
        <row r="12">
          <cell r="H12">
            <v>20</v>
          </cell>
        </row>
        <row r="13">
          <cell r="H13">
            <v>27</v>
          </cell>
        </row>
        <row r="14">
          <cell r="H14">
            <v>25</v>
          </cell>
        </row>
        <row r="15">
          <cell r="H15">
            <v>39</v>
          </cell>
        </row>
        <row r="16">
          <cell r="H16">
            <v>51</v>
          </cell>
        </row>
        <row r="17">
          <cell r="H17">
            <v>24.05</v>
          </cell>
        </row>
        <row r="18">
          <cell r="H18">
            <v>24.05</v>
          </cell>
        </row>
        <row r="19">
          <cell r="H19">
            <v>24.05</v>
          </cell>
        </row>
        <row r="20">
          <cell r="H20">
            <v>50</v>
          </cell>
        </row>
        <row r="21">
          <cell r="H21">
            <v>48.1</v>
          </cell>
        </row>
        <row r="22">
          <cell r="H22">
            <v>48.1</v>
          </cell>
        </row>
        <row r="23">
          <cell r="H23">
            <v>93</v>
          </cell>
        </row>
        <row r="24">
          <cell r="H24">
            <v>65</v>
          </cell>
        </row>
        <row r="25">
          <cell r="H25">
            <v>90</v>
          </cell>
        </row>
        <row r="26">
          <cell r="H26">
            <v>60</v>
          </cell>
        </row>
        <row r="27">
          <cell r="H27">
            <v>15</v>
          </cell>
        </row>
        <row r="28">
          <cell r="H28">
            <v>12</v>
          </cell>
        </row>
        <row r="29">
          <cell r="H29">
            <v>10</v>
          </cell>
        </row>
        <row r="30">
          <cell r="H30">
            <v>18</v>
          </cell>
        </row>
        <row r="31">
          <cell r="H31">
            <v>15</v>
          </cell>
        </row>
        <row r="32">
          <cell r="H32">
            <v>102</v>
          </cell>
        </row>
        <row r="33">
          <cell r="H33">
            <v>175</v>
          </cell>
        </row>
        <row r="34">
          <cell r="H34">
            <v>193</v>
          </cell>
        </row>
        <row r="36">
          <cell r="H36">
            <v>24.05</v>
          </cell>
        </row>
      </sheetData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5F17-BF0D-4429-8B9F-8F9463AC813E}">
  <sheetPr>
    <pageSetUpPr fitToPage="1"/>
  </sheetPr>
  <dimension ref="C3:M68"/>
  <sheetViews>
    <sheetView tabSelected="1" topLeftCell="B1" workbookViewId="0">
      <selection activeCell="J4" sqref="J4"/>
    </sheetView>
  </sheetViews>
  <sheetFormatPr defaultRowHeight="15" x14ac:dyDescent="0.25"/>
  <cols>
    <col min="1" max="2" width="9.140625" style="22"/>
    <col min="3" max="3" width="26.42578125" style="22" customWidth="1"/>
    <col min="4" max="4" width="12.7109375" style="22" customWidth="1"/>
    <col min="5" max="5" width="36.42578125" style="22" customWidth="1"/>
    <col min="6" max="6" width="9" style="22" customWidth="1"/>
    <col min="7" max="7" width="35.7109375" style="22" customWidth="1"/>
    <col min="8" max="8" width="9.140625" style="22"/>
    <col min="9" max="9" width="2.7109375" style="22" customWidth="1"/>
    <col min="10" max="11" width="9.140625" style="22"/>
    <col min="12" max="12" width="9.7109375" style="22" bestFit="1" customWidth="1"/>
    <col min="13" max="16384" width="9.140625" style="22"/>
  </cols>
  <sheetData>
    <row r="3" spans="3:12" x14ac:dyDescent="0.25">
      <c r="E3" s="22" t="s">
        <v>51</v>
      </c>
      <c r="J3" s="65" t="s">
        <v>95</v>
      </c>
      <c r="L3" s="23"/>
    </row>
    <row r="4" spans="3:12" x14ac:dyDescent="0.25">
      <c r="C4" s="24" t="s">
        <v>52</v>
      </c>
      <c r="E4" s="22" t="s">
        <v>53</v>
      </c>
      <c r="H4" s="22" t="s">
        <v>54</v>
      </c>
    </row>
    <row r="5" spans="3:12" x14ac:dyDescent="0.25">
      <c r="C5" s="20" t="s">
        <v>55</v>
      </c>
      <c r="D5" s="23"/>
      <c r="E5" s="25"/>
      <c r="H5" s="26"/>
    </row>
    <row r="6" spans="3:12" x14ac:dyDescent="0.25">
      <c r="C6" s="27"/>
      <c r="D6" s="27"/>
      <c r="E6" s="28" t="s">
        <v>1</v>
      </c>
      <c r="F6" s="29"/>
      <c r="G6" s="29"/>
      <c r="H6" s="30">
        <f>'[1]March 2018 detaled  '!H6+'[1]March 2018 detaled  '!H8+'[1]March 2018 detaled  '!H10+'[1]March 2018 detaled  '!H14+'[1]March 2018 detaled  '!H17+'[1]March 2018 detaled  '!H18+'[1]March 2018 detaled  '!H19+'[1]March 2018 detaled  '!H21+'[1]March 2018 detaled  '!H22+'[1]March 2018 detaled  '!H33+'[1]March 2018 detaled  '!H36</f>
        <v>613.6</v>
      </c>
      <c r="I6" s="29"/>
      <c r="J6" s="29"/>
      <c r="K6" s="29"/>
    </row>
    <row r="7" spans="3:12" x14ac:dyDescent="0.25">
      <c r="C7" s="27"/>
      <c r="D7" s="27"/>
      <c r="E7" s="31" t="s">
        <v>56</v>
      </c>
      <c r="F7" s="29"/>
      <c r="G7" s="29"/>
      <c r="H7" s="26">
        <f>'[1]March 2018 detaled  '!H7+'[1]March 2018 detaled  '!H20</f>
        <v>85</v>
      </c>
      <c r="I7" s="29"/>
      <c r="J7" s="29"/>
      <c r="K7" s="29"/>
    </row>
    <row r="8" spans="3:12" x14ac:dyDescent="0.25">
      <c r="C8" s="27"/>
      <c r="D8" s="27"/>
      <c r="E8" s="28" t="s">
        <v>57</v>
      </c>
      <c r="F8" s="29"/>
      <c r="G8" s="29"/>
      <c r="H8" s="26">
        <f>'[1]March 2018 detaled  '!H9+'[1]March 2018 detaled  '!H11+'[1]March 2018 detaled  '!H12+'[1]March 2018 detaled  '!H13+'[1]March 2018 detaled  '!H15+'[1]March 2018 detaled  '!H17-'[1]March 2018 detaled  '!H17+'[1]March 2018 detaled  '!H23+'[1]March 2018 detaled  '!H24+'[1]March 2018 detaled  '!H27+'[1]March 2018 detaled  '!H28+'[1]March 2018 detaled  '!H29+'[1]March 2018 detaled  '!H30+'[1]March 2018 detaled  '!H31+'[1]March 2018 detaled  '!H32+'[1]March 2018 detaled  '!H34+'[1]March 2018 detaled  '!H25</f>
        <v>798</v>
      </c>
      <c r="I8" s="29"/>
      <c r="J8" s="29"/>
      <c r="K8" s="29"/>
    </row>
    <row r="9" spans="3:12" x14ac:dyDescent="0.25">
      <c r="C9" s="27"/>
      <c r="D9" s="27"/>
      <c r="E9" s="32" t="s">
        <v>58</v>
      </c>
      <c r="F9" s="29"/>
      <c r="G9" s="29"/>
      <c r="H9" s="33">
        <f>'[1]March 2018 detaled  '!H16+'[1]March 2018 detaled  '!H26</f>
        <v>111</v>
      </c>
      <c r="I9" s="33"/>
      <c r="J9" s="29"/>
      <c r="K9" s="29"/>
    </row>
    <row r="10" spans="3:12" x14ac:dyDescent="0.25">
      <c r="C10" s="27"/>
      <c r="D10" s="27"/>
      <c r="E10" s="31" t="s">
        <v>59</v>
      </c>
      <c r="F10" s="29"/>
      <c r="G10" s="29"/>
      <c r="H10" s="33">
        <v>900</v>
      </c>
      <c r="I10" s="33"/>
      <c r="J10" s="29"/>
      <c r="K10" s="29"/>
    </row>
    <row r="11" spans="3:12" x14ac:dyDescent="0.25">
      <c r="C11" s="23"/>
      <c r="E11" s="31" t="s">
        <v>60</v>
      </c>
      <c r="G11" s="29"/>
      <c r="H11" s="33">
        <v>0.04</v>
      </c>
      <c r="I11" s="33"/>
      <c r="J11" s="29"/>
      <c r="K11" s="29"/>
    </row>
    <row r="12" spans="3:12" x14ac:dyDescent="0.25">
      <c r="C12" s="23"/>
      <c r="E12" s="31"/>
      <c r="G12" s="29"/>
      <c r="H12" s="33"/>
      <c r="I12" s="33"/>
      <c r="J12" s="29"/>
      <c r="K12" s="29"/>
    </row>
    <row r="13" spans="3:12" x14ac:dyDescent="0.25">
      <c r="C13" s="23"/>
      <c r="D13" s="23"/>
      <c r="E13" s="34"/>
      <c r="G13" s="29"/>
      <c r="H13" s="33"/>
      <c r="I13" s="33"/>
      <c r="J13" s="29"/>
      <c r="K13" s="29"/>
    </row>
    <row r="14" spans="3:12" x14ac:dyDescent="0.25">
      <c r="C14" s="23"/>
      <c r="E14" s="35"/>
      <c r="G14" s="29"/>
      <c r="H14" s="33"/>
      <c r="I14" s="29"/>
      <c r="J14" s="29"/>
      <c r="K14" s="29"/>
    </row>
    <row r="15" spans="3:12" x14ac:dyDescent="0.25">
      <c r="C15" s="23"/>
      <c r="G15" s="29"/>
      <c r="H15" s="33"/>
      <c r="I15" s="29"/>
      <c r="J15" s="29"/>
      <c r="K15" s="29"/>
    </row>
    <row r="16" spans="3:12" x14ac:dyDescent="0.25">
      <c r="E16" s="22" t="s">
        <v>0</v>
      </c>
      <c r="G16" s="29"/>
      <c r="H16" s="33">
        <f>SUM(H4:H15)</f>
        <v>2507.64</v>
      </c>
      <c r="I16" s="29"/>
      <c r="J16" s="29"/>
      <c r="K16" s="29"/>
    </row>
    <row r="17" spans="3:13" x14ac:dyDescent="0.25">
      <c r="G17" s="29"/>
      <c r="H17" s="29"/>
      <c r="I17" s="29"/>
      <c r="J17" s="29"/>
      <c r="K17" s="29"/>
    </row>
    <row r="18" spans="3:13" x14ac:dyDescent="0.25">
      <c r="G18" s="29"/>
      <c r="H18" s="29"/>
      <c r="I18" s="29"/>
      <c r="J18" s="29"/>
      <c r="K18" s="29"/>
    </row>
    <row r="19" spans="3:13" x14ac:dyDescent="0.25">
      <c r="G19" s="29"/>
      <c r="H19" s="29"/>
      <c r="I19" s="29"/>
      <c r="J19" s="29"/>
      <c r="K19" s="29"/>
      <c r="M19" s="29"/>
    </row>
    <row r="20" spans="3:13" x14ac:dyDescent="0.25">
      <c r="C20" s="20" t="s">
        <v>61</v>
      </c>
      <c r="H20" s="29"/>
      <c r="I20" s="29"/>
      <c r="J20" s="29"/>
      <c r="K20" s="29"/>
      <c r="M20" s="29"/>
    </row>
    <row r="21" spans="3:13" x14ac:dyDescent="0.25">
      <c r="C21" s="36" t="s">
        <v>52</v>
      </c>
      <c r="D21" s="36"/>
      <c r="E21" s="36" t="s">
        <v>62</v>
      </c>
      <c r="F21" s="36"/>
      <c r="G21" s="36" t="s">
        <v>53</v>
      </c>
      <c r="H21" s="37"/>
      <c r="I21" s="37"/>
      <c r="J21" s="37" t="s">
        <v>63</v>
      </c>
      <c r="K21" s="37" t="s">
        <v>54</v>
      </c>
      <c r="M21" s="29"/>
    </row>
    <row r="22" spans="3:13" x14ac:dyDescent="0.25">
      <c r="C22" s="38"/>
      <c r="D22" s="13"/>
      <c r="E22" s="13"/>
      <c r="F22" s="13"/>
      <c r="G22" s="13"/>
      <c r="H22" s="13"/>
      <c r="I22" s="13"/>
      <c r="J22" s="39"/>
      <c r="K22" s="19"/>
      <c r="M22" s="26"/>
    </row>
    <row r="23" spans="3:13" x14ac:dyDescent="0.25">
      <c r="C23" s="40">
        <v>43160</v>
      </c>
      <c r="D23" s="13"/>
      <c r="E23" s="13" t="s">
        <v>64</v>
      </c>
      <c r="F23" s="41"/>
      <c r="G23" s="13" t="s">
        <v>44</v>
      </c>
      <c r="H23" s="42"/>
      <c r="I23" s="42"/>
      <c r="J23" s="39" t="s">
        <v>65</v>
      </c>
      <c r="K23" s="43">
        <v>800</v>
      </c>
    </row>
    <row r="24" spans="3:13" x14ac:dyDescent="0.25">
      <c r="C24" s="44">
        <v>43161</v>
      </c>
      <c r="D24" s="13"/>
      <c r="E24" s="13" t="s">
        <v>66</v>
      </c>
      <c r="F24" s="13"/>
      <c r="G24" s="13" t="s">
        <v>67</v>
      </c>
      <c r="H24" s="31"/>
      <c r="I24" s="31"/>
      <c r="J24" s="39">
        <v>258033</v>
      </c>
      <c r="K24" s="45">
        <v>127</v>
      </c>
    </row>
    <row r="25" spans="3:13" x14ac:dyDescent="0.25">
      <c r="C25" s="44">
        <v>43164</v>
      </c>
      <c r="D25" s="31"/>
      <c r="E25" s="13" t="s">
        <v>68</v>
      </c>
      <c r="F25" s="13"/>
      <c r="G25" s="13" t="s">
        <v>69</v>
      </c>
      <c r="H25" s="31"/>
      <c r="I25" s="31"/>
      <c r="J25" s="39" t="s">
        <v>65</v>
      </c>
      <c r="K25" s="45">
        <v>190</v>
      </c>
    </row>
    <row r="26" spans="3:13" x14ac:dyDescent="0.25">
      <c r="C26" s="44">
        <v>43164</v>
      </c>
      <c r="D26" s="31"/>
      <c r="E26" s="13" t="s">
        <v>70</v>
      </c>
      <c r="F26" s="13"/>
      <c r="G26" s="13" t="s">
        <v>71</v>
      </c>
      <c r="H26" s="31"/>
      <c r="I26" s="31"/>
      <c r="J26" s="39" t="s">
        <v>65</v>
      </c>
      <c r="K26" s="45">
        <v>76.959999999999994</v>
      </c>
    </row>
    <row r="27" spans="3:13" x14ac:dyDescent="0.25">
      <c r="C27" s="44">
        <v>43164</v>
      </c>
      <c r="D27" s="31"/>
      <c r="E27" s="13" t="s">
        <v>72</v>
      </c>
      <c r="F27" s="13"/>
      <c r="G27" s="13" t="s">
        <v>46</v>
      </c>
      <c r="H27" s="31"/>
      <c r="I27" s="31"/>
      <c r="J27" s="39" t="s">
        <v>65</v>
      </c>
      <c r="K27" s="30">
        <v>114</v>
      </c>
    </row>
    <row r="28" spans="3:13" x14ac:dyDescent="0.25">
      <c r="C28" s="44">
        <v>43166</v>
      </c>
      <c r="D28" s="31"/>
      <c r="E28" s="13" t="s">
        <v>43</v>
      </c>
      <c r="F28" s="13"/>
      <c r="G28" s="13" t="s">
        <v>73</v>
      </c>
      <c r="H28" s="31"/>
      <c r="I28" s="31"/>
      <c r="J28" s="39" t="s">
        <v>65</v>
      </c>
      <c r="K28" s="30">
        <v>57.9</v>
      </c>
    </row>
    <row r="29" spans="3:13" x14ac:dyDescent="0.25">
      <c r="C29" s="44">
        <v>43186</v>
      </c>
      <c r="D29" s="31"/>
      <c r="E29" s="13" t="s">
        <v>64</v>
      </c>
      <c r="F29" s="13"/>
      <c r="G29" s="13" t="s">
        <v>44</v>
      </c>
      <c r="H29" s="31"/>
      <c r="I29" s="31"/>
      <c r="J29" s="39" t="s">
        <v>65</v>
      </c>
      <c r="K29" s="30">
        <v>800</v>
      </c>
    </row>
    <row r="30" spans="3:13" x14ac:dyDescent="0.25">
      <c r="C30" s="44">
        <v>43186</v>
      </c>
      <c r="D30" s="31"/>
      <c r="E30" s="13" t="s">
        <v>74</v>
      </c>
      <c r="F30" s="13"/>
      <c r="G30" s="13" t="s">
        <v>75</v>
      </c>
      <c r="H30" s="31"/>
      <c r="I30" s="31"/>
      <c r="J30" s="39" t="s">
        <v>65</v>
      </c>
      <c r="K30" s="30">
        <v>22</v>
      </c>
    </row>
    <row r="31" spans="3:13" x14ac:dyDescent="0.25">
      <c r="C31" s="38">
        <v>43186</v>
      </c>
      <c r="D31" s="13"/>
      <c r="E31" s="13" t="s">
        <v>76</v>
      </c>
      <c r="F31" s="13"/>
      <c r="G31" s="13" t="s">
        <v>39</v>
      </c>
      <c r="H31" s="31"/>
      <c r="I31" s="31"/>
      <c r="J31" s="39" t="s">
        <v>65</v>
      </c>
      <c r="K31" s="30">
        <v>234</v>
      </c>
    </row>
    <row r="32" spans="3:13" x14ac:dyDescent="0.25">
      <c r="C32" s="44">
        <v>43186</v>
      </c>
      <c r="D32" s="31"/>
      <c r="E32" s="13" t="s">
        <v>77</v>
      </c>
      <c r="F32" s="31"/>
      <c r="G32" s="13" t="s">
        <v>78</v>
      </c>
      <c r="H32" s="31"/>
      <c r="I32" s="31"/>
      <c r="J32" s="46" t="s">
        <v>65</v>
      </c>
      <c r="K32" s="30">
        <v>485</v>
      </c>
    </row>
    <row r="33" spans="3:13" x14ac:dyDescent="0.25">
      <c r="C33" s="44"/>
      <c r="D33" s="31"/>
      <c r="E33" s="13"/>
      <c r="F33" s="13"/>
      <c r="G33" s="13"/>
      <c r="H33" s="31"/>
      <c r="I33" s="31"/>
      <c r="J33" s="39"/>
      <c r="K33" s="30"/>
    </row>
    <row r="34" spans="3:13" x14ac:dyDescent="0.25">
      <c r="C34" s="44"/>
      <c r="D34" s="31"/>
      <c r="E34" s="13"/>
      <c r="F34" s="13"/>
      <c r="G34" s="13"/>
      <c r="H34" s="31"/>
      <c r="I34" s="31"/>
      <c r="J34" s="39"/>
      <c r="K34" s="30"/>
    </row>
    <row r="35" spans="3:13" x14ac:dyDescent="0.25">
      <c r="C35" s="38"/>
      <c r="D35" s="31"/>
      <c r="E35" s="13"/>
      <c r="F35" s="31"/>
      <c r="G35" s="13"/>
      <c r="H35" s="31"/>
      <c r="I35" s="31"/>
      <c r="J35" s="39"/>
      <c r="K35" s="30"/>
    </row>
    <row r="36" spans="3:13" x14ac:dyDescent="0.25">
      <c r="C36" s="38"/>
      <c r="D36" s="31"/>
      <c r="E36" s="13"/>
      <c r="F36" s="31"/>
      <c r="G36" s="13"/>
      <c r="H36" s="31"/>
      <c r="I36" s="31"/>
      <c r="J36" s="39"/>
      <c r="K36" s="30"/>
    </row>
    <row r="37" spans="3:13" x14ac:dyDescent="0.25">
      <c r="C37" s="44"/>
      <c r="D37" s="31"/>
      <c r="E37" s="31"/>
      <c r="F37" s="31"/>
      <c r="G37" s="31"/>
      <c r="H37" s="31"/>
      <c r="I37" s="31"/>
      <c r="J37" s="46"/>
      <c r="K37" s="30"/>
    </row>
    <row r="38" spans="3:13" x14ac:dyDescent="0.25">
      <c r="C38" s="25"/>
      <c r="D38" s="25"/>
      <c r="E38" s="31"/>
      <c r="F38" s="25"/>
      <c r="G38" s="31"/>
      <c r="H38" s="25"/>
      <c r="I38" s="25"/>
      <c r="J38" s="46"/>
      <c r="K38" s="47"/>
    </row>
    <row r="39" spans="3:13" x14ac:dyDescent="0.25">
      <c r="E39" s="22" t="s">
        <v>79</v>
      </c>
      <c r="K39" s="48">
        <f>SUM(K22:K38)</f>
        <v>2906.86</v>
      </c>
    </row>
    <row r="40" spans="3:13" x14ac:dyDescent="0.25">
      <c r="K40" s="49"/>
    </row>
    <row r="41" spans="3:13" x14ac:dyDescent="0.25">
      <c r="K41" s="49"/>
      <c r="M41" s="48"/>
    </row>
    <row r="42" spans="3:13" x14ac:dyDescent="0.25">
      <c r="J42" s="22" t="s">
        <v>80</v>
      </c>
      <c r="K42" s="49"/>
      <c r="M42" s="48"/>
    </row>
    <row r="43" spans="3:13" x14ac:dyDescent="0.25">
      <c r="C43" s="22" t="s">
        <v>81</v>
      </c>
      <c r="D43" s="49">
        <v>6011.47</v>
      </c>
      <c r="M43" s="48"/>
    </row>
    <row r="44" spans="3:13" x14ac:dyDescent="0.25">
      <c r="D44" s="33"/>
      <c r="G44" s="49"/>
      <c r="J44" s="22" t="s">
        <v>82</v>
      </c>
      <c r="M44" s="48">
        <v>5612.25</v>
      </c>
    </row>
    <row r="45" spans="3:13" x14ac:dyDescent="0.25">
      <c r="C45" s="22" t="s">
        <v>83</v>
      </c>
      <c r="D45" s="49">
        <f>H16</f>
        <v>2507.64</v>
      </c>
      <c r="F45" s="49"/>
      <c r="G45" s="48"/>
      <c r="L45" s="48"/>
      <c r="M45" s="48"/>
    </row>
    <row r="46" spans="3:13" x14ac:dyDescent="0.25">
      <c r="D46" s="49"/>
      <c r="J46" s="22" t="s">
        <v>84</v>
      </c>
      <c r="L46" s="48"/>
      <c r="M46" s="48"/>
    </row>
    <row r="47" spans="3:13" x14ac:dyDescent="0.25">
      <c r="D47" s="49"/>
      <c r="G47" s="49"/>
      <c r="L47" s="50"/>
      <c r="M47" s="48"/>
    </row>
    <row r="48" spans="3:13" x14ac:dyDescent="0.25">
      <c r="C48" s="22" t="s">
        <v>85</v>
      </c>
      <c r="D48" s="49">
        <f>K39</f>
        <v>2906.86</v>
      </c>
      <c r="F48" s="48"/>
      <c r="G48" s="48"/>
      <c r="L48" s="26"/>
      <c r="M48" s="48"/>
    </row>
    <row r="49" spans="3:13" x14ac:dyDescent="0.25">
      <c r="D49" s="49">
        <f>D43+D45-D48</f>
        <v>5612.25</v>
      </c>
      <c r="F49" s="49"/>
      <c r="L49" s="26"/>
      <c r="M49" s="48"/>
    </row>
    <row r="50" spans="3:13" x14ac:dyDescent="0.25">
      <c r="D50" s="49"/>
      <c r="G50" s="18"/>
      <c r="L50" s="26"/>
      <c r="M50" s="48"/>
    </row>
    <row r="51" spans="3:13" x14ac:dyDescent="0.25">
      <c r="D51" s="49"/>
      <c r="F51" s="49"/>
      <c r="G51" s="49"/>
      <c r="L51" s="48"/>
      <c r="M51" s="48"/>
    </row>
    <row r="52" spans="3:13" x14ac:dyDescent="0.25">
      <c r="D52" s="49"/>
      <c r="L52" s="48"/>
      <c r="M52" s="48"/>
    </row>
    <row r="53" spans="3:13" x14ac:dyDescent="0.25">
      <c r="D53" s="51"/>
      <c r="E53" s="11"/>
      <c r="F53" s="11"/>
      <c r="L53" s="52"/>
      <c r="M53" s="48"/>
    </row>
    <row r="54" spans="3:13" x14ac:dyDescent="0.25">
      <c r="C54" s="11" t="s">
        <v>86</v>
      </c>
      <c r="D54" s="49"/>
      <c r="L54" s="53">
        <f>SUM(L47:L53)</f>
        <v>0</v>
      </c>
      <c r="M54" s="52">
        <f>SUM(L47:L53)</f>
        <v>0</v>
      </c>
    </row>
    <row r="55" spans="3:13" x14ac:dyDescent="0.25">
      <c r="D55" s="49"/>
      <c r="G55" s="49"/>
      <c r="L55" s="48"/>
      <c r="M55" s="48">
        <f>M44-M54</f>
        <v>5612.25</v>
      </c>
    </row>
    <row r="56" spans="3:13" x14ac:dyDescent="0.25">
      <c r="C56" s="22" t="s">
        <v>87</v>
      </c>
      <c r="D56" s="49">
        <v>5612.25</v>
      </c>
      <c r="L56" s="48"/>
      <c r="M56" s="53"/>
    </row>
    <row r="57" spans="3:13" x14ac:dyDescent="0.25">
      <c r="C57" s="22" t="s">
        <v>88</v>
      </c>
      <c r="D57" s="49">
        <v>13721.41</v>
      </c>
      <c r="E57" s="54"/>
      <c r="L57" s="48"/>
      <c r="M57" s="53"/>
    </row>
    <row r="58" spans="3:13" x14ac:dyDescent="0.25">
      <c r="C58" s="22" t="s">
        <v>89</v>
      </c>
      <c r="D58" s="49">
        <f>7418.69+10464.1</f>
        <v>17882.79</v>
      </c>
      <c r="L58" s="48"/>
      <c r="M58" s="55">
        <f>SUM(M55:M57)</f>
        <v>5612.25</v>
      </c>
    </row>
    <row r="59" spans="3:13" x14ac:dyDescent="0.25">
      <c r="C59" s="22" t="s">
        <v>90</v>
      </c>
      <c r="D59" s="49">
        <v>24558.799999999999</v>
      </c>
      <c r="F59" s="56"/>
      <c r="L59" s="48"/>
      <c r="M59" s="48"/>
    </row>
    <row r="60" spans="3:13" x14ac:dyDescent="0.25">
      <c r="C60" s="22" t="s">
        <v>91</v>
      </c>
      <c r="D60" s="33"/>
      <c r="F60" s="57"/>
      <c r="L60" s="48"/>
      <c r="M60" s="48"/>
    </row>
    <row r="61" spans="3:13" x14ac:dyDescent="0.25">
      <c r="D61" s="58">
        <f>SUM(D56:D60)</f>
        <v>61775.25</v>
      </c>
      <c r="F61" s="59">
        <f>D61</f>
        <v>61775.25</v>
      </c>
      <c r="G61" s="60"/>
      <c r="H61" s="60" t="s">
        <v>92</v>
      </c>
      <c r="I61" s="60"/>
      <c r="J61" s="60"/>
      <c r="K61" s="61">
        <f>'[1]February 2018 Summary'!D61</f>
        <v>62157.010000000009</v>
      </c>
      <c r="L61" s="48"/>
      <c r="M61" s="48"/>
    </row>
    <row r="62" spans="3:13" x14ac:dyDescent="0.25">
      <c r="F62" s="60"/>
      <c r="G62" s="60"/>
      <c r="H62" s="60" t="s">
        <v>93</v>
      </c>
      <c r="I62" s="60"/>
      <c r="J62" s="60"/>
      <c r="K62" s="60">
        <f>F61-K61</f>
        <v>-381.76000000000931</v>
      </c>
    </row>
    <row r="63" spans="3:13" x14ac:dyDescent="0.25">
      <c r="F63" s="60"/>
      <c r="G63" s="60"/>
      <c r="H63" s="60"/>
      <c r="I63" s="60"/>
      <c r="J63" s="60"/>
      <c r="K63" s="60"/>
    </row>
    <row r="64" spans="3:13" x14ac:dyDescent="0.25">
      <c r="F64" s="62">
        <f>D61</f>
        <v>61775.25</v>
      </c>
      <c r="G64" s="63"/>
      <c r="H64" s="63" t="s">
        <v>94</v>
      </c>
      <c r="I64" s="63"/>
      <c r="J64" s="63"/>
      <c r="K64" s="62">
        <f>'[1]March Summary'!F69</f>
        <v>57996.479999999996</v>
      </c>
    </row>
    <row r="65" spans="5:11" x14ac:dyDescent="0.25">
      <c r="F65" s="63"/>
      <c r="G65" s="63"/>
      <c r="H65" s="60" t="s">
        <v>93</v>
      </c>
      <c r="I65" s="63"/>
      <c r="J65" s="63"/>
      <c r="K65" s="63">
        <f>F64-K64</f>
        <v>3778.7700000000041</v>
      </c>
    </row>
    <row r="67" spans="5:11" x14ac:dyDescent="0.25">
      <c r="E67" s="64"/>
      <c r="G67" s="25"/>
    </row>
    <row r="68" spans="5:11" x14ac:dyDescent="0.25">
      <c r="E68" s="64"/>
      <c r="G68" s="25"/>
    </row>
  </sheetData>
  <pageMargins left="0.7" right="0.7" top="0.75" bottom="0.75" header="0.3" footer="0.3"/>
  <pageSetup paperSize="9" scale="52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73060-ED0E-4800-85D9-9C4FCC0AFF15}">
  <sheetPr>
    <pageSetUpPr fitToPage="1"/>
  </sheetPr>
  <dimension ref="C1:O41"/>
  <sheetViews>
    <sheetView topLeftCell="B8" workbookViewId="0">
      <selection activeCell="G24" sqref="G24"/>
    </sheetView>
  </sheetViews>
  <sheetFormatPr defaultRowHeight="15" x14ac:dyDescent="0.25"/>
  <cols>
    <col min="3" max="3" width="30" bestFit="1" customWidth="1"/>
    <col min="10" max="10" width="12" bestFit="1" customWidth="1"/>
    <col min="11" max="11" width="11.5703125" bestFit="1" customWidth="1"/>
  </cols>
  <sheetData>
    <row r="1" spans="3:15" x14ac:dyDescent="0.25">
      <c r="K1" s="10">
        <v>43190</v>
      </c>
    </row>
    <row r="2" spans="3:15" x14ac:dyDescent="0.25">
      <c r="F2" s="1" t="s">
        <v>19</v>
      </c>
      <c r="J2" s="1" t="s">
        <v>20</v>
      </c>
      <c r="K2" s="1" t="s">
        <v>21</v>
      </c>
    </row>
    <row r="3" spans="3:15" x14ac:dyDescent="0.25">
      <c r="E3">
        <v>2017</v>
      </c>
      <c r="F3">
        <v>2018</v>
      </c>
      <c r="J3" s="1" t="s">
        <v>22</v>
      </c>
      <c r="K3" s="1" t="s">
        <v>18</v>
      </c>
    </row>
    <row r="4" spans="3:15" x14ac:dyDescent="0.25">
      <c r="C4" s="11" t="s">
        <v>23</v>
      </c>
      <c r="D4" s="11"/>
      <c r="E4" s="7"/>
      <c r="F4" s="12" t="s">
        <v>24</v>
      </c>
      <c r="G4" s="7"/>
      <c r="H4" s="7"/>
      <c r="I4" s="7"/>
      <c r="J4" s="7"/>
      <c r="K4" s="7"/>
    </row>
    <row r="5" spans="3:15" x14ac:dyDescent="0.25">
      <c r="C5" t="s">
        <v>25</v>
      </c>
      <c r="E5" s="7">
        <v>542.05999999999995</v>
      </c>
      <c r="F5" s="7">
        <f>E5*1.019</f>
        <v>552.35913999999991</v>
      </c>
      <c r="G5" s="7"/>
      <c r="H5" s="7"/>
      <c r="I5" s="7"/>
      <c r="J5" s="7">
        <f>F5/12</f>
        <v>46.029928333333324</v>
      </c>
      <c r="K5" s="7">
        <f>57+127</f>
        <v>184</v>
      </c>
      <c r="O5" s="7">
        <f>K5-J5</f>
        <v>137.97007166666668</v>
      </c>
    </row>
    <row r="6" spans="3:15" x14ac:dyDescent="0.25">
      <c r="C6" t="s">
        <v>26</v>
      </c>
      <c r="E6" s="7">
        <v>787.93</v>
      </c>
      <c r="F6" s="7">
        <f t="shared" ref="F6:F8" si="0">E6*1.019</f>
        <v>802.90066999999988</v>
      </c>
      <c r="G6" s="7"/>
      <c r="H6" s="7"/>
      <c r="I6" s="7"/>
      <c r="J6" s="7">
        <f t="shared" ref="J6:J17" si="1">F6/12</f>
        <v>66.908389166666652</v>
      </c>
      <c r="K6" s="7">
        <f>15+181.4+9+107.5+41.8+8.9+22</f>
        <v>385.59999999999997</v>
      </c>
      <c r="O6" s="7">
        <f t="shared" ref="O6:O17" si="2">K6-J6</f>
        <v>318.6916108333333</v>
      </c>
    </row>
    <row r="7" spans="3:15" x14ac:dyDescent="0.25">
      <c r="C7" t="s">
        <v>27</v>
      </c>
      <c r="E7" s="7">
        <f>894.9-249.5</f>
        <v>645.4</v>
      </c>
      <c r="F7" s="7">
        <f t="shared" si="0"/>
        <v>657.66259999999988</v>
      </c>
      <c r="G7" s="7"/>
      <c r="H7" s="7"/>
      <c r="I7" s="7"/>
      <c r="J7" s="7">
        <f t="shared" si="1"/>
        <v>54.805216666666659</v>
      </c>
      <c r="K7" s="7">
        <f>563.5</f>
        <v>563.5</v>
      </c>
      <c r="O7" s="7">
        <f t="shared" si="2"/>
        <v>508.69478333333336</v>
      </c>
    </row>
    <row r="8" spans="3:15" x14ac:dyDescent="0.25">
      <c r="C8" t="s">
        <v>28</v>
      </c>
      <c r="E8" s="7">
        <v>249.5</v>
      </c>
      <c r="F8" s="7">
        <f t="shared" si="0"/>
        <v>254.24049999999997</v>
      </c>
      <c r="G8" s="7"/>
      <c r="H8" s="7"/>
      <c r="I8" s="7"/>
      <c r="J8" s="7">
        <f t="shared" si="1"/>
        <v>21.186708333333332</v>
      </c>
      <c r="K8" s="7"/>
      <c r="O8" s="7">
        <f t="shared" si="2"/>
        <v>-21.186708333333332</v>
      </c>
    </row>
    <row r="9" spans="3:15" x14ac:dyDescent="0.25">
      <c r="C9" t="s">
        <v>29</v>
      </c>
      <c r="E9" s="7"/>
      <c r="F9" s="7"/>
      <c r="G9" s="7"/>
      <c r="H9" s="7"/>
      <c r="I9" s="7"/>
      <c r="J9" s="7">
        <f t="shared" si="1"/>
        <v>0</v>
      </c>
      <c r="K9" s="7"/>
      <c r="O9" s="7">
        <f t="shared" si="2"/>
        <v>0</v>
      </c>
    </row>
    <row r="10" spans="3:15" x14ac:dyDescent="0.25">
      <c r="C10" t="s">
        <v>30</v>
      </c>
      <c r="E10" s="7"/>
      <c r="F10" s="7"/>
      <c r="G10" s="7"/>
      <c r="H10" s="7"/>
      <c r="I10" s="7"/>
      <c r="J10" s="7">
        <f t="shared" si="1"/>
        <v>0</v>
      </c>
      <c r="K10" s="7"/>
      <c r="O10" s="7">
        <f t="shared" si="2"/>
        <v>0</v>
      </c>
    </row>
    <row r="11" spans="3:15" x14ac:dyDescent="0.25">
      <c r="C11" t="s">
        <v>31</v>
      </c>
      <c r="E11" s="7"/>
      <c r="F11" s="7"/>
      <c r="G11" s="7"/>
      <c r="H11" s="7"/>
      <c r="I11" s="7"/>
      <c r="J11" s="7">
        <f t="shared" si="1"/>
        <v>0</v>
      </c>
      <c r="K11" s="7"/>
      <c r="O11" s="7">
        <f t="shared" si="2"/>
        <v>0</v>
      </c>
    </row>
    <row r="12" spans="3:15" x14ac:dyDescent="0.25">
      <c r="C12" t="s">
        <v>32</v>
      </c>
      <c r="E12" s="7">
        <v>779.26</v>
      </c>
      <c r="F12" s="7">
        <f t="shared" ref="F12:F15" si="3">E12*1.019</f>
        <v>794.06593999999996</v>
      </c>
      <c r="G12" s="7"/>
      <c r="H12" s="7"/>
      <c r="I12" s="7"/>
      <c r="J12" s="7">
        <f t="shared" si="1"/>
        <v>66.172161666666668</v>
      </c>
      <c r="K12" s="7">
        <f>10.9+248.83+19.03+416.4+485</f>
        <v>1180.1599999999999</v>
      </c>
      <c r="O12" s="7">
        <f t="shared" si="2"/>
        <v>1113.9878383333332</v>
      </c>
    </row>
    <row r="13" spans="3:15" x14ac:dyDescent="0.25">
      <c r="C13" t="s">
        <v>33</v>
      </c>
      <c r="E13" s="7">
        <v>6709.95</v>
      </c>
      <c r="F13" s="7">
        <f t="shared" si="3"/>
        <v>6837.439049999999</v>
      </c>
      <c r="G13" s="7"/>
      <c r="H13" s="7"/>
      <c r="I13" s="7"/>
      <c r="J13" s="7">
        <f t="shared" si="1"/>
        <v>569.78658749999988</v>
      </c>
      <c r="K13" s="7"/>
      <c r="O13" s="7">
        <f t="shared" si="2"/>
        <v>-569.78658749999988</v>
      </c>
    </row>
    <row r="14" spans="3:15" x14ac:dyDescent="0.25">
      <c r="C14" t="s">
        <v>34</v>
      </c>
      <c r="E14" s="7">
        <v>1000</v>
      </c>
      <c r="F14" s="7">
        <f t="shared" si="3"/>
        <v>1018.9999999999999</v>
      </c>
      <c r="G14" s="7"/>
      <c r="H14" s="7"/>
      <c r="I14" s="7"/>
      <c r="J14" s="7">
        <f t="shared" si="1"/>
        <v>84.916666666666657</v>
      </c>
      <c r="K14" s="7"/>
      <c r="O14" s="7">
        <f t="shared" si="2"/>
        <v>-84.916666666666657</v>
      </c>
    </row>
    <row r="15" spans="3:15" x14ac:dyDescent="0.25">
      <c r="C15" t="s">
        <v>35</v>
      </c>
      <c r="E15" s="7">
        <v>170</v>
      </c>
      <c r="F15" s="7">
        <f t="shared" si="3"/>
        <v>173.23</v>
      </c>
      <c r="G15" s="7"/>
      <c r="H15" s="7"/>
      <c r="I15" s="7"/>
      <c r="J15" s="7">
        <f t="shared" si="1"/>
        <v>14.435833333333333</v>
      </c>
      <c r="K15" s="7">
        <f>5+5+25+25</f>
        <v>60</v>
      </c>
      <c r="O15" s="7">
        <f t="shared" si="2"/>
        <v>45.564166666666665</v>
      </c>
    </row>
    <row r="16" spans="3:15" x14ac:dyDescent="0.25">
      <c r="C16" t="s">
        <v>36</v>
      </c>
      <c r="E16" s="7"/>
      <c r="F16" s="7"/>
      <c r="G16" s="7"/>
      <c r="H16" s="7"/>
      <c r="I16" s="7"/>
      <c r="J16" s="7">
        <f t="shared" si="1"/>
        <v>0</v>
      </c>
      <c r="K16" s="7">
        <f>253+680</f>
        <v>933</v>
      </c>
      <c r="O16" s="7">
        <f t="shared" si="2"/>
        <v>933</v>
      </c>
    </row>
    <row r="17" spans="3:15" x14ac:dyDescent="0.25">
      <c r="C17" t="s">
        <v>37</v>
      </c>
      <c r="E17" s="7">
        <v>127.56</v>
      </c>
      <c r="F17" s="7">
        <f>E17*1.019</f>
        <v>129.98363999999998</v>
      </c>
      <c r="G17" s="7"/>
      <c r="H17" s="7"/>
      <c r="I17" s="7"/>
      <c r="J17" s="7">
        <f t="shared" si="1"/>
        <v>10.831969999999998</v>
      </c>
      <c r="K17" s="7"/>
      <c r="O17" s="7">
        <f t="shared" si="2"/>
        <v>-10.831969999999998</v>
      </c>
    </row>
    <row r="18" spans="3:15" x14ac:dyDescent="0.25">
      <c r="C18" t="s">
        <v>38</v>
      </c>
      <c r="E18" s="7"/>
      <c r="F18" s="7"/>
      <c r="G18" s="7"/>
      <c r="H18" s="7"/>
      <c r="I18" s="7"/>
      <c r="J18" s="7"/>
      <c r="K18" s="7">
        <f>52.5+22.5+25+215+190+190</f>
        <v>695</v>
      </c>
    </row>
    <row r="19" spans="3:15" x14ac:dyDescent="0.25">
      <c r="C19" t="s">
        <v>39</v>
      </c>
      <c r="E19" s="7"/>
      <c r="F19" s="7"/>
      <c r="G19" s="7"/>
      <c r="H19" s="7"/>
      <c r="I19" s="7"/>
      <c r="J19" s="7"/>
      <c r="K19" s="7">
        <f>234</f>
        <v>234</v>
      </c>
    </row>
    <row r="20" spans="3:15" x14ac:dyDescent="0.25">
      <c r="C20" t="s">
        <v>40</v>
      </c>
      <c r="E20" s="7">
        <f>SUM(E4:E18)</f>
        <v>11011.659999999998</v>
      </c>
      <c r="F20" s="7">
        <f>SUM(F4:F18)</f>
        <v>11220.881539999998</v>
      </c>
      <c r="G20" s="7"/>
      <c r="H20" s="7"/>
      <c r="I20" s="7"/>
      <c r="J20" s="7">
        <f>SUM(J4:J18)</f>
        <v>935.07346166666639</v>
      </c>
      <c r="K20" s="7">
        <f>SUM(K5:K19)</f>
        <v>4235.26</v>
      </c>
    </row>
    <row r="21" spans="3:15" x14ac:dyDescent="0.25">
      <c r="E21" s="7"/>
      <c r="F21" s="7"/>
      <c r="G21" s="7"/>
      <c r="H21" s="7"/>
      <c r="I21" s="7"/>
      <c r="J21" s="7"/>
      <c r="K21" s="7"/>
    </row>
    <row r="22" spans="3:15" x14ac:dyDescent="0.25">
      <c r="C22" s="11" t="s">
        <v>41</v>
      </c>
      <c r="E22" s="7"/>
      <c r="F22" s="7"/>
      <c r="G22" s="7"/>
      <c r="H22" s="7"/>
      <c r="I22" s="7"/>
      <c r="J22" s="7"/>
      <c r="K22" s="7"/>
    </row>
    <row r="23" spans="3:15" x14ac:dyDescent="0.25">
      <c r="C23" t="s">
        <v>42</v>
      </c>
      <c r="E23" s="7">
        <v>4642.1099999999997</v>
      </c>
      <c r="F23" s="7">
        <f t="shared" ref="F23:F30" si="4">E23*1.019</f>
        <v>4730.310089999999</v>
      </c>
      <c r="G23" s="7"/>
      <c r="H23" s="7"/>
      <c r="I23" s="7"/>
      <c r="J23" s="7">
        <f t="shared" ref="J23:J31" si="5">F23/12</f>
        <v>394.19250749999992</v>
      </c>
      <c r="K23" s="7">
        <f>673.21+369.83+76.96</f>
        <v>1120</v>
      </c>
      <c r="O23" s="7">
        <f t="shared" ref="O23:O30" si="6">K23-J23</f>
        <v>725.80749250000008</v>
      </c>
    </row>
    <row r="24" spans="3:15" x14ac:dyDescent="0.25">
      <c r="C24" t="s">
        <v>43</v>
      </c>
      <c r="E24" s="7">
        <v>675.8</v>
      </c>
      <c r="F24" s="7">
        <f t="shared" si="4"/>
        <v>688.64019999999994</v>
      </c>
      <c r="G24" s="7"/>
      <c r="H24" s="7"/>
      <c r="I24" s="7"/>
      <c r="J24" s="7">
        <f t="shared" si="5"/>
        <v>57.38668333333333</v>
      </c>
      <c r="K24" s="7">
        <f>57.9+57.9+57.9</f>
        <v>173.7</v>
      </c>
      <c r="O24" s="7">
        <f t="shared" si="6"/>
        <v>116.31331666666665</v>
      </c>
    </row>
    <row r="25" spans="3:15" x14ac:dyDescent="0.25">
      <c r="C25" t="s">
        <v>44</v>
      </c>
      <c r="E25" s="7">
        <v>9800</v>
      </c>
      <c r="F25" s="7">
        <f t="shared" si="4"/>
        <v>9986.1999999999989</v>
      </c>
      <c r="G25" s="7"/>
      <c r="H25" s="7"/>
      <c r="I25" s="7"/>
      <c r="J25" s="7">
        <f t="shared" si="5"/>
        <v>832.18333333333328</v>
      </c>
      <c r="K25" s="7">
        <f>800+1000+800+800</f>
        <v>3400</v>
      </c>
      <c r="M25" s="13"/>
      <c r="N25" s="13"/>
      <c r="O25" s="7">
        <f t="shared" si="6"/>
        <v>2567.8166666666666</v>
      </c>
    </row>
    <row r="26" spans="3:15" x14ac:dyDescent="0.25">
      <c r="C26" t="s">
        <v>45</v>
      </c>
      <c r="E26" s="7">
        <v>325.58999999999997</v>
      </c>
      <c r="F26" s="7">
        <f t="shared" si="4"/>
        <v>331.77620999999994</v>
      </c>
      <c r="G26" s="7"/>
      <c r="H26" s="7"/>
      <c r="I26" s="7"/>
      <c r="J26" s="7">
        <f t="shared" si="5"/>
        <v>27.648017499999995</v>
      </c>
      <c r="K26" s="7"/>
      <c r="M26" s="13"/>
      <c r="N26" s="13"/>
      <c r="O26" s="7">
        <f t="shared" si="6"/>
        <v>-27.648017499999995</v>
      </c>
    </row>
    <row r="27" spans="3:15" x14ac:dyDescent="0.25">
      <c r="C27" t="s">
        <v>46</v>
      </c>
      <c r="E27" s="7">
        <v>1073.95</v>
      </c>
      <c r="F27" s="7">
        <f t="shared" si="4"/>
        <v>1094.3550499999999</v>
      </c>
      <c r="G27" s="7"/>
      <c r="H27" s="7"/>
      <c r="I27" s="7"/>
      <c r="J27" s="7">
        <f t="shared" si="5"/>
        <v>91.196254166666662</v>
      </c>
      <c r="K27" s="7">
        <f>114</f>
        <v>114</v>
      </c>
      <c r="M27" s="13"/>
      <c r="N27" s="13"/>
      <c r="O27" s="7">
        <f t="shared" si="6"/>
        <v>22.803745833333338</v>
      </c>
    </row>
    <row r="28" spans="3:15" x14ac:dyDescent="0.25">
      <c r="C28" t="s">
        <v>47</v>
      </c>
      <c r="E28" s="14"/>
      <c r="F28" s="7"/>
      <c r="G28" s="7"/>
      <c r="H28" s="7"/>
      <c r="I28" s="7"/>
      <c r="J28" s="7">
        <f t="shared" si="5"/>
        <v>0</v>
      </c>
      <c r="K28" s="7"/>
      <c r="M28" s="13"/>
      <c r="N28" s="13"/>
      <c r="O28" s="7">
        <f t="shared" si="6"/>
        <v>0</v>
      </c>
    </row>
    <row r="29" spans="3:15" x14ac:dyDescent="0.25">
      <c r="C29" t="s">
        <v>48</v>
      </c>
      <c r="E29" s="7"/>
      <c r="F29" s="7"/>
      <c r="G29" s="7"/>
      <c r="H29" s="7"/>
      <c r="I29" s="7"/>
      <c r="J29" s="7">
        <f t="shared" si="5"/>
        <v>0</v>
      </c>
      <c r="K29" s="7">
        <f>54</f>
        <v>54</v>
      </c>
      <c r="M29" s="13"/>
      <c r="N29" s="13"/>
      <c r="O29" s="7">
        <f t="shared" si="6"/>
        <v>54</v>
      </c>
    </row>
    <row r="30" spans="3:15" x14ac:dyDescent="0.25">
      <c r="C30" t="s">
        <v>36</v>
      </c>
      <c r="D30" s="15"/>
      <c r="E30" s="16">
        <v>191.83</v>
      </c>
      <c r="F30" s="7">
        <f t="shared" si="4"/>
        <v>195.47477000000001</v>
      </c>
      <c r="G30" s="16"/>
      <c r="H30" s="16"/>
      <c r="I30" s="16"/>
      <c r="J30" s="7">
        <f t="shared" si="5"/>
        <v>16.289564166666668</v>
      </c>
      <c r="K30" s="16"/>
      <c r="L30" s="17"/>
      <c r="M30" s="13"/>
      <c r="N30" s="13"/>
      <c r="O30" s="7">
        <f t="shared" si="6"/>
        <v>-16.289564166666668</v>
      </c>
    </row>
    <row r="31" spans="3:15" x14ac:dyDescent="0.25">
      <c r="D31" s="15"/>
      <c r="E31" s="18"/>
      <c r="F31" s="18"/>
      <c r="G31" s="16"/>
      <c r="H31" s="16"/>
      <c r="I31" s="16"/>
      <c r="J31" s="7">
        <f t="shared" si="5"/>
        <v>0</v>
      </c>
      <c r="K31" s="18"/>
      <c r="L31" s="15"/>
    </row>
    <row r="32" spans="3:15" x14ac:dyDescent="0.25">
      <c r="C32" t="s">
        <v>49</v>
      </c>
      <c r="D32" s="15"/>
      <c r="E32" s="16">
        <f>SUM(E23:E31)</f>
        <v>16709.280000000002</v>
      </c>
      <c r="F32" s="16">
        <f>SUM(F23:F31)</f>
        <v>17026.756319999997</v>
      </c>
      <c r="G32" s="16"/>
      <c r="H32" s="16"/>
      <c r="I32" s="16"/>
      <c r="J32" s="16">
        <f>SUM(J23:J31)</f>
        <v>1418.8963599999997</v>
      </c>
      <c r="K32" s="16">
        <f>SUM(K23:K31)</f>
        <v>4861.7</v>
      </c>
      <c r="L32" s="15"/>
    </row>
    <row r="33" spans="3:11" x14ac:dyDescent="0.25">
      <c r="E33" s="7"/>
      <c r="F33" s="19"/>
      <c r="G33" s="7"/>
      <c r="H33" s="7"/>
      <c r="I33" s="7"/>
      <c r="J33" s="7"/>
      <c r="K33" s="7"/>
    </row>
    <row r="34" spans="3:11" x14ac:dyDescent="0.25">
      <c r="C34" s="20" t="s">
        <v>50</v>
      </c>
      <c r="E34" s="7">
        <f>E20+E32</f>
        <v>27720.940000000002</v>
      </c>
      <c r="F34" s="7">
        <f>F20+F32</f>
        <v>28247.637859999995</v>
      </c>
      <c r="G34" s="7"/>
      <c r="H34" s="7"/>
      <c r="I34" s="7"/>
      <c r="J34" s="7">
        <f>J20+J32</f>
        <v>2353.9698216666661</v>
      </c>
      <c r="K34" s="7">
        <f>K20+K32</f>
        <v>9096.9599999999991</v>
      </c>
    </row>
    <row r="35" spans="3:11" x14ac:dyDescent="0.25">
      <c r="E35" s="7"/>
      <c r="F35" s="7"/>
      <c r="G35" s="7"/>
      <c r="H35" s="7"/>
      <c r="I35" s="7"/>
      <c r="J35" s="7"/>
      <c r="K35" s="7"/>
    </row>
    <row r="36" spans="3:11" x14ac:dyDescent="0.25">
      <c r="E36" s="7"/>
      <c r="F36" s="7"/>
      <c r="G36" s="7"/>
      <c r="H36" s="7"/>
      <c r="I36" s="7"/>
      <c r="J36" s="7"/>
      <c r="K36" s="7"/>
    </row>
    <row r="37" spans="3:11" x14ac:dyDescent="0.25">
      <c r="E37" s="7"/>
      <c r="F37" s="7"/>
      <c r="G37" s="7"/>
      <c r="H37" s="7"/>
      <c r="I37" s="7"/>
      <c r="J37" s="7"/>
      <c r="K37" s="7"/>
    </row>
    <row r="38" spans="3:11" x14ac:dyDescent="0.25">
      <c r="E38" s="7"/>
      <c r="F38" s="7"/>
      <c r="G38" s="7"/>
      <c r="H38" s="7"/>
      <c r="I38" s="7"/>
      <c r="J38" s="7"/>
      <c r="K38" s="7"/>
    </row>
    <row r="41" spans="3:11" x14ac:dyDescent="0.25">
      <c r="E41" s="21"/>
      <c r="F41" s="21"/>
    </row>
  </sheetData>
  <pageMargins left="0.70866141732283472" right="0.70866141732283472" top="0.74803149606299213" bottom="0.74803149606299213" header="0.31496062992125984" footer="0.31496062992125984"/>
  <pageSetup paperSize="9" scale="96" orientation="landscape" cellComments="asDisplayed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31E0A-4CEA-4453-85DD-2E6CD096F6B0}">
  <sheetPr>
    <pageSetUpPr fitToPage="1"/>
  </sheetPr>
  <dimension ref="C1:P18"/>
  <sheetViews>
    <sheetView topLeftCell="C1" workbookViewId="0">
      <selection activeCell="P5" sqref="P5"/>
    </sheetView>
  </sheetViews>
  <sheetFormatPr defaultRowHeight="15" x14ac:dyDescent="0.25"/>
  <cols>
    <col min="4" max="4" width="5.42578125" bestFit="1" customWidth="1"/>
    <col min="5" max="6" width="13.5703125" bestFit="1" customWidth="1"/>
    <col min="7" max="8" width="12.28515625" bestFit="1" customWidth="1"/>
    <col min="9" max="10" width="10" bestFit="1" customWidth="1"/>
    <col min="11" max="12" width="11" bestFit="1" customWidth="1"/>
    <col min="13" max="14" width="12.7109375" bestFit="1" customWidth="1"/>
  </cols>
  <sheetData>
    <row r="1" spans="4:16" x14ac:dyDescent="0.25">
      <c r="E1" s="1">
        <v>2017</v>
      </c>
      <c r="F1" s="2">
        <v>2018</v>
      </c>
      <c r="G1" s="1">
        <v>2017</v>
      </c>
      <c r="H1" s="2">
        <v>2018</v>
      </c>
      <c r="I1" s="1">
        <v>2017</v>
      </c>
      <c r="J1" s="2">
        <v>2018</v>
      </c>
      <c r="K1" s="3">
        <v>2017</v>
      </c>
      <c r="L1" s="2">
        <v>2018</v>
      </c>
      <c r="M1" s="3">
        <v>2017</v>
      </c>
      <c r="N1" s="2">
        <v>2018</v>
      </c>
      <c r="O1" s="1">
        <v>2017</v>
      </c>
      <c r="P1" s="2">
        <v>2018</v>
      </c>
    </row>
    <row r="2" spans="4:16" x14ac:dyDescent="0.25">
      <c r="F2" s="4"/>
      <c r="H2" s="4"/>
      <c r="J2" s="4"/>
      <c r="K2" s="5"/>
      <c r="L2" s="4"/>
      <c r="M2" s="4"/>
      <c r="N2" s="4"/>
      <c r="P2" s="4"/>
    </row>
    <row r="3" spans="4:16" x14ac:dyDescent="0.25">
      <c r="E3" t="s">
        <v>0</v>
      </c>
      <c r="F3" s="4" t="s">
        <v>0</v>
      </c>
      <c r="G3" t="s">
        <v>1</v>
      </c>
      <c r="H3" s="4" t="s">
        <v>1</v>
      </c>
      <c r="I3" t="s">
        <v>2</v>
      </c>
      <c r="J3" s="4" t="s">
        <v>2</v>
      </c>
      <c r="K3" s="5" t="s">
        <v>3</v>
      </c>
      <c r="L3" s="4" t="s">
        <v>3</v>
      </c>
      <c r="M3" s="5" t="s">
        <v>4</v>
      </c>
      <c r="N3" s="6" t="s">
        <v>4</v>
      </c>
      <c r="O3" s="1" t="s">
        <v>5</v>
      </c>
      <c r="P3" s="2" t="s">
        <v>5</v>
      </c>
    </row>
    <row r="4" spans="4:16" x14ac:dyDescent="0.25">
      <c r="D4" t="s">
        <v>6</v>
      </c>
      <c r="E4" s="7">
        <f t="shared" ref="E4:E15" si="0">G4+I4+O4</f>
        <v>6097.08</v>
      </c>
      <c r="F4" s="8">
        <f t="shared" ref="F4:F5" si="1">H4+J4+P4+L4+N4</f>
        <v>7403.63</v>
      </c>
      <c r="G4" s="7">
        <v>4567.0200000000004</v>
      </c>
      <c r="H4" s="8">
        <v>5265.05</v>
      </c>
      <c r="I4" s="7">
        <v>530</v>
      </c>
      <c r="J4" s="8">
        <f>214</f>
        <v>214</v>
      </c>
      <c r="K4" s="9">
        <v>0</v>
      </c>
      <c r="L4" s="8"/>
      <c r="M4" s="8"/>
      <c r="N4" s="8"/>
      <c r="O4" s="7">
        <v>1000.06</v>
      </c>
      <c r="P4" s="8">
        <f>1044.52+880+0.06</f>
        <v>1924.58</v>
      </c>
    </row>
    <row r="5" spans="4:16" x14ac:dyDescent="0.25">
      <c r="D5" t="s">
        <v>7</v>
      </c>
      <c r="E5" s="7">
        <f t="shared" si="0"/>
        <v>3820.97</v>
      </c>
      <c r="F5" s="8">
        <f t="shared" si="1"/>
        <v>3927.05</v>
      </c>
      <c r="G5" s="7">
        <v>1884.15</v>
      </c>
      <c r="H5" s="8">
        <v>2083.1999999999998</v>
      </c>
      <c r="I5" s="7">
        <v>1928.1</v>
      </c>
      <c r="J5" s="8">
        <v>1607.8</v>
      </c>
      <c r="K5" s="9">
        <v>0</v>
      </c>
      <c r="L5" s="8">
        <v>236</v>
      </c>
      <c r="M5" s="8"/>
      <c r="N5" s="8"/>
      <c r="O5" s="7">
        <v>8.7200000000000006</v>
      </c>
      <c r="P5" s="8">
        <v>0.05</v>
      </c>
    </row>
    <row r="6" spans="4:16" x14ac:dyDescent="0.25">
      <c r="D6" t="s">
        <v>8</v>
      </c>
      <c r="E6" s="7">
        <f t="shared" si="0"/>
        <v>2581.56</v>
      </c>
      <c r="F6" s="8">
        <f>H6+J6+P6+L6+N6</f>
        <v>2507.64</v>
      </c>
      <c r="G6" s="7">
        <v>971.5</v>
      </c>
      <c r="H6" s="8">
        <v>613.6</v>
      </c>
      <c r="I6" s="7">
        <v>1598.15</v>
      </c>
      <c r="J6" s="8">
        <v>798</v>
      </c>
      <c r="K6" s="9">
        <v>0</v>
      </c>
      <c r="L6" s="8">
        <v>85</v>
      </c>
      <c r="M6" s="8"/>
      <c r="N6" s="8">
        <v>111</v>
      </c>
      <c r="O6" s="7">
        <v>11.91</v>
      </c>
      <c r="P6" s="8">
        <f>900+0.04</f>
        <v>900.04</v>
      </c>
    </row>
    <row r="7" spans="4:16" x14ac:dyDescent="0.25">
      <c r="D7" t="s">
        <v>9</v>
      </c>
      <c r="E7" s="7">
        <f t="shared" si="0"/>
        <v>4003.45</v>
      </c>
      <c r="F7" s="8">
        <f t="shared" ref="F7:F15" si="2">H7+J7+P7+L7+N7</f>
        <v>0</v>
      </c>
      <c r="G7" s="7">
        <v>144.30000000000001</v>
      </c>
      <c r="H7" s="8"/>
      <c r="I7" s="7">
        <v>1059.0999999999999</v>
      </c>
      <c r="J7" s="8"/>
      <c r="K7" s="9">
        <v>0</v>
      </c>
      <c r="L7" s="8"/>
      <c r="M7" s="8"/>
      <c r="N7" s="8"/>
      <c r="O7" s="7">
        <v>2800.05</v>
      </c>
      <c r="P7" s="8"/>
    </row>
    <row r="8" spans="4:16" x14ac:dyDescent="0.25">
      <c r="D8" t="s">
        <v>10</v>
      </c>
      <c r="E8" s="7">
        <f t="shared" si="0"/>
        <v>3077.93</v>
      </c>
      <c r="F8" s="8">
        <f t="shared" si="2"/>
        <v>0</v>
      </c>
      <c r="G8" s="7">
        <v>218.35</v>
      </c>
      <c r="H8" s="8"/>
      <c r="I8" s="7">
        <v>2372</v>
      </c>
      <c r="J8" s="8"/>
      <c r="K8" s="9">
        <v>0</v>
      </c>
      <c r="L8" s="8"/>
      <c r="M8" s="8"/>
      <c r="N8" s="8"/>
      <c r="O8" s="7">
        <v>487.58</v>
      </c>
      <c r="P8" s="8"/>
    </row>
    <row r="9" spans="4:16" x14ac:dyDescent="0.25">
      <c r="D9" t="s">
        <v>11</v>
      </c>
      <c r="E9" s="7">
        <f t="shared" si="0"/>
        <v>1463.07</v>
      </c>
      <c r="F9" s="8">
        <f t="shared" si="2"/>
        <v>0</v>
      </c>
      <c r="G9" s="7">
        <v>264.55</v>
      </c>
      <c r="H9" s="8"/>
      <c r="I9" s="7">
        <v>1184.2</v>
      </c>
      <c r="J9" s="8"/>
      <c r="K9" s="9">
        <v>0</v>
      </c>
      <c r="L9" s="8"/>
      <c r="M9" s="8"/>
      <c r="N9" s="8"/>
      <c r="O9" s="7">
        <v>14.32</v>
      </c>
      <c r="P9" s="8"/>
    </row>
    <row r="10" spans="4:16" x14ac:dyDescent="0.25">
      <c r="D10" t="s">
        <v>12</v>
      </c>
      <c r="E10" s="7">
        <f t="shared" si="0"/>
        <v>1277.49</v>
      </c>
      <c r="F10" s="8">
        <f t="shared" si="2"/>
        <v>0</v>
      </c>
      <c r="G10" s="7">
        <v>170.25</v>
      </c>
      <c r="H10" s="8"/>
      <c r="I10" s="7">
        <v>694.9</v>
      </c>
      <c r="J10" s="8"/>
      <c r="K10" s="9">
        <v>0</v>
      </c>
      <c r="L10" s="8"/>
      <c r="M10" s="8"/>
      <c r="N10" s="8"/>
      <c r="O10" s="7">
        <v>412.34</v>
      </c>
      <c r="P10" s="8"/>
    </row>
    <row r="11" spans="4:16" x14ac:dyDescent="0.25">
      <c r="D11" t="s">
        <v>13</v>
      </c>
      <c r="E11" s="7">
        <f t="shared" si="0"/>
        <v>1488.53</v>
      </c>
      <c r="F11" s="8">
        <f t="shared" si="2"/>
        <v>0</v>
      </c>
      <c r="G11" s="7">
        <v>241.25</v>
      </c>
      <c r="H11" s="8"/>
      <c r="I11" s="7">
        <v>1026.99</v>
      </c>
      <c r="J11" s="8"/>
      <c r="K11" s="9">
        <v>0</v>
      </c>
      <c r="L11" s="8"/>
      <c r="M11" s="8"/>
      <c r="N11" s="8"/>
      <c r="O11" s="7">
        <v>220.29</v>
      </c>
      <c r="P11" s="8"/>
    </row>
    <row r="12" spans="4:16" x14ac:dyDescent="0.25">
      <c r="D12" t="s">
        <v>14</v>
      </c>
      <c r="E12" s="7">
        <f t="shared" si="0"/>
        <v>848.41</v>
      </c>
      <c r="F12" s="8">
        <f t="shared" si="2"/>
        <v>0</v>
      </c>
      <c r="G12" s="7">
        <v>24.05</v>
      </c>
      <c r="H12" s="8"/>
      <c r="I12" s="7">
        <v>810</v>
      </c>
      <c r="J12" s="8"/>
      <c r="K12" s="9">
        <v>0</v>
      </c>
      <c r="L12" s="8"/>
      <c r="M12" s="8"/>
      <c r="N12" s="8"/>
      <c r="O12" s="7">
        <v>14.36</v>
      </c>
      <c r="P12" s="8"/>
    </row>
    <row r="13" spans="4:16" x14ac:dyDescent="0.25">
      <c r="D13" t="s">
        <v>15</v>
      </c>
      <c r="E13" s="7">
        <f t="shared" si="0"/>
        <v>1597.37</v>
      </c>
      <c r="F13" s="8">
        <f t="shared" si="2"/>
        <v>0</v>
      </c>
      <c r="G13" s="7">
        <v>193.35</v>
      </c>
      <c r="H13" s="8"/>
      <c r="I13" s="7">
        <v>1124</v>
      </c>
      <c r="J13" s="8"/>
      <c r="K13" s="9">
        <v>0</v>
      </c>
      <c r="L13" s="8"/>
      <c r="M13" s="8"/>
      <c r="N13" s="8"/>
      <c r="O13" s="7">
        <v>280.02</v>
      </c>
      <c r="P13" s="8"/>
    </row>
    <row r="14" spans="4:16" x14ac:dyDescent="0.25">
      <c r="D14" t="s">
        <v>16</v>
      </c>
      <c r="E14" s="7">
        <f t="shared" si="0"/>
        <v>1596.5700000000002</v>
      </c>
      <c r="F14" s="8">
        <f t="shared" si="2"/>
        <v>0</v>
      </c>
      <c r="G14" s="7">
        <v>366.45</v>
      </c>
      <c r="H14" s="8"/>
      <c r="I14" s="7">
        <v>1138.4000000000001</v>
      </c>
      <c r="J14" s="8"/>
      <c r="K14" s="9">
        <v>0</v>
      </c>
      <c r="L14" s="8"/>
      <c r="M14" s="8"/>
      <c r="N14" s="8"/>
      <c r="O14" s="7">
        <v>91.72</v>
      </c>
      <c r="P14" s="8"/>
    </row>
    <row r="15" spans="4:16" x14ac:dyDescent="0.25">
      <c r="D15" t="s">
        <v>17</v>
      </c>
      <c r="E15" s="7">
        <f t="shared" si="0"/>
        <v>4692.59</v>
      </c>
      <c r="F15" s="8">
        <f t="shared" si="2"/>
        <v>0</v>
      </c>
      <c r="G15" s="7">
        <v>3071.7</v>
      </c>
      <c r="H15" s="8"/>
      <c r="I15" s="7">
        <v>1609.8</v>
      </c>
      <c r="J15" s="8"/>
      <c r="K15" s="9">
        <v>0</v>
      </c>
      <c r="L15" s="8"/>
      <c r="M15" s="8"/>
      <c r="N15" s="8"/>
      <c r="O15" s="7">
        <v>11.09</v>
      </c>
      <c r="P15" s="8"/>
    </row>
    <row r="16" spans="4:16" x14ac:dyDescent="0.25">
      <c r="E16" s="7"/>
      <c r="F16" s="8"/>
      <c r="G16" s="7"/>
      <c r="H16" s="8"/>
      <c r="I16" s="7"/>
      <c r="J16" s="8"/>
      <c r="K16" s="9"/>
      <c r="L16" s="8"/>
      <c r="M16" s="8"/>
      <c r="N16" s="8"/>
      <c r="O16" s="7"/>
      <c r="P16" s="8"/>
    </row>
    <row r="17" spans="3:16" x14ac:dyDescent="0.25">
      <c r="C17" t="s">
        <v>18</v>
      </c>
      <c r="E17" s="9">
        <f>SUM(E4:E16)</f>
        <v>32545.019999999997</v>
      </c>
      <c r="F17" s="8">
        <f t="shared" ref="F17:P17" si="3">SUM(F4:F16)</f>
        <v>13838.32</v>
      </c>
      <c r="G17" s="9">
        <f>SUM(G4:G15)</f>
        <v>12116.920000000002</v>
      </c>
      <c r="H17" s="8">
        <f t="shared" si="3"/>
        <v>7961.85</v>
      </c>
      <c r="I17" s="7">
        <f>SUM(I4:I15)</f>
        <v>15075.64</v>
      </c>
      <c r="J17" s="8">
        <f t="shared" si="3"/>
        <v>2619.8000000000002</v>
      </c>
      <c r="K17" s="8">
        <f t="shared" si="3"/>
        <v>0</v>
      </c>
      <c r="L17" s="8">
        <f t="shared" si="3"/>
        <v>321</v>
      </c>
      <c r="M17" s="8"/>
      <c r="N17" s="8"/>
      <c r="O17" s="7">
        <f>SUM(O4:O15)</f>
        <v>5352.46</v>
      </c>
      <c r="P17" s="8">
        <f t="shared" si="3"/>
        <v>2824.67</v>
      </c>
    </row>
    <row r="18" spans="3:16" x14ac:dyDescent="0.25">
      <c r="C18" t="s">
        <v>19</v>
      </c>
      <c r="E18" s="7">
        <f>SUM(E4:E15)</f>
        <v>32545.019999999997</v>
      </c>
      <c r="F18" s="7"/>
      <c r="G18" s="7">
        <f>SUM(G4:G15)</f>
        <v>12116.920000000002</v>
      </c>
      <c r="H18" s="7"/>
      <c r="I18" s="7">
        <f>SUM(I4:I15)</f>
        <v>15075.64</v>
      </c>
      <c r="J18" s="7"/>
      <c r="K18" s="9"/>
      <c r="L18" s="7"/>
      <c r="M18" s="7"/>
      <c r="N18" s="7"/>
      <c r="O18" s="7">
        <f>SUM(O4:O15)</f>
        <v>5352.46</v>
      </c>
      <c r="P18" s="7"/>
    </row>
  </sheetData>
  <pageMargins left="0.70866141732283472" right="0.70866141732283472" top="0.74803149606299213" bottom="0.74803149606299213" header="0.31496062992125984" footer="0.31496062992125984"/>
  <pageSetup paperSize="9" scale="66" orientation="landscape" cellComments="asDisplayed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Cashbook</vt:lpstr>
      <vt:lpstr>Costs</vt:lpstr>
      <vt:lpstr>Income</vt:lpstr>
      <vt:lpstr>Cashbook!Print_Area</vt:lpstr>
      <vt:lpstr>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2018-04-04T01:23:41Z</dcterms:created>
  <dcterms:modified xsi:type="dcterms:W3CDTF">2018-04-04T01:31:52Z</dcterms:modified>
</cp:coreProperties>
</file>